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iul red aug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<sst xmlns="http://schemas.openxmlformats.org/spreadsheetml/2006/main" count="104" uniqueCount="69">
  <si>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 xml:space="preserve"> Ludus </t>
  </si>
  <si>
    <t>contractat</t>
  </si>
  <si>
    <t>Trim I</t>
  </si>
  <si>
    <t>Ianuarie</t>
  </si>
  <si>
    <t>Februarie</t>
  </si>
  <si>
    <t>Casa de Asigurări de Sănătate Mureş</t>
  </si>
  <si>
    <t>Serviciul Evaluare-Contractare</t>
  </si>
  <si>
    <t>Serviciul  Evaluare-Contractare</t>
  </si>
  <si>
    <t>Spit de urg</t>
  </si>
  <si>
    <t xml:space="preserve"> Spit. Or. Valer Russu </t>
  </si>
  <si>
    <t xml:space="preserve"> CMI Dabija 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</si>
  <si>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</si>
  <si>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</si>
  <si>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</si>
  <si>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</si>
  <si>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CMI Szasz </t>
  </si>
  <si>
    <t xml:space="preserve"> Reszana  </t>
  </si>
  <si>
    <t xml:space="preserve"> Ermetic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</si>
  <si>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</si>
  <si>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</si>
  <si>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</si>
  <si>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</si>
  <si>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</si>
  <si>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</si>
  <si>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>Martie</t>
  </si>
  <si>
    <t xml:space="preserve"> Total      </t>
  </si>
  <si>
    <t>recuperare</t>
  </si>
  <si>
    <t xml:space="preserve"> Fensther </t>
  </si>
  <si>
    <t xml:space="preserve"> Băile Sărate  </t>
  </si>
  <si>
    <t xml:space="preserve"> Dora </t>
  </si>
  <si>
    <t>Medicals</t>
  </si>
  <si>
    <t xml:space="preserve"> Rheum - Care </t>
  </si>
  <si>
    <t>Balneo</t>
  </si>
  <si>
    <t>Sovata</t>
  </si>
  <si>
    <t>Sorel&amp;</t>
  </si>
  <si>
    <t>Sorela</t>
  </si>
  <si>
    <t xml:space="preserve">Trim I </t>
  </si>
  <si>
    <t xml:space="preserve"> Total 2018</t>
  </si>
  <si>
    <t xml:space="preserve">     Anexa 2</t>
  </si>
  <si>
    <t xml:space="preserve">         Anexa 2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</si>
  <si>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</si>
  <si>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</si>
  <si>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</si>
  <si>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</si>
  <si>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</si>
  <si>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</si>
  <si>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</si>
  <si>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</si>
  <si>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 xml:space="preserve">Octombrie </t>
  </si>
  <si>
    <t xml:space="preserve">Noiembrie </t>
  </si>
  <si>
    <t>Decembrie</t>
  </si>
  <si>
    <t>Trim IV</t>
  </si>
  <si>
    <t>An 2018</t>
  </si>
  <si>
    <t>Semestrul I</t>
  </si>
  <si>
    <t>Semestrul II</t>
  </si>
  <si>
    <t xml:space="preserve">August </t>
  </si>
  <si>
    <t>Octombrie</t>
  </si>
  <si>
    <t>Noiembrie</t>
  </si>
  <si>
    <t>SC Salinele</t>
  </si>
  <si>
    <t>Roman SRL</t>
  </si>
  <si>
    <t xml:space="preserve">SC Ale </t>
  </si>
  <si>
    <t xml:space="preserve">Fiziomed </t>
  </si>
  <si>
    <t>Plus SRL</t>
  </si>
  <si>
    <t>Mai -Dec</t>
  </si>
  <si>
    <t>Mai-dec</t>
  </si>
  <si>
    <t>Dim. Iulie</t>
  </si>
  <si>
    <t>Red.Aug</t>
  </si>
  <si>
    <t>Red. Aug</t>
  </si>
  <si>
    <t>Diminuare iulie 2018 redistribuire august 2018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</si>
</sst>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33" borderId="14" xfId="0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0" fontId="1" fillId="16" borderId="14" xfId="0" applyFont="1" applyFill="1" applyBorder="1" applyAlignment="1">
      <alignment/>
    </xf>
    <xf numFmtId="4" fontId="1" fillId="16" borderId="15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3" fontId="1" fillId="0" borderId="10" xfId="43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3" fontId="1" fillId="34" borderId="10" xfId="43" applyNumberFormat="1" applyFont="1" applyFill="1" applyBorder="1" applyAlignment="1">
      <alignment/>
    </xf>
    <xf numFmtId="0" fontId="1" fillId="16" borderId="10" xfId="0" applyFont="1" applyFill="1" applyBorder="1" applyAlignment="1">
      <alignment/>
    </xf>
    <xf numFmtId="181" fontId="1" fillId="16" borderId="10" xfId="43" applyNumberFormat="1" applyFont="1" applyFill="1" applyBorder="1" applyAlignment="1">
      <alignment/>
    </xf>
    <xf numFmtId="183" fontId="1" fillId="16" borderId="10" xfId="43" applyNumberFormat="1" applyFont="1" applyFill="1" applyBorder="1" applyAlignment="1">
      <alignment/>
    </xf>
    <xf numFmtId="43" fontId="0" fillId="0" borderId="0" xfId="0" applyNumberFormat="1" applyAlignment="1">
      <alignment/>
    </xf>
    <xf numFmtId="181" fontId="0" fillId="0" borderId="0" xfId="0" applyNumberFormat="1" applyAlignment="1">
      <alignment/>
    </xf>
    <xf numFmtId="183" fontId="1" fillId="33" borderId="10" xfId="43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81" fontId="0" fillId="0" borderId="10" xfId="43" applyNumberFormat="1" applyFont="1" applyBorder="1" applyAlignment="1">
      <alignment/>
    </xf>
    <xf numFmtId="181" fontId="0" fillId="33" borderId="10" xfId="43" applyNumberFormat="1" applyFont="1" applyFill="1" applyBorder="1" applyAlignment="1">
      <alignment/>
    </xf>
    <xf numFmtId="181" fontId="0" fillId="34" borderId="10" xfId="43" applyNumberFormat="1" applyFont="1" applyFill="1" applyBorder="1" applyAlignment="1">
      <alignment/>
    </xf>
    <xf numFmtId="43" fontId="0" fillId="0" borderId="10" xfId="43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J1">
      <selection activeCell="Z29" sqref="Z29"/>
    </sheetView>
  </sheetViews>
  <sheetFormatPr defaultColWidth="9.140625" defaultRowHeight="12.75"/>
  <cols>
    <col min="1" max="1" width="13.28125" style="0" customWidth="1"/>
    <col min="2" max="2" width="14.8515625" style="0" customWidth="1"/>
    <col min="3" max="3" width="16.57421875" style="0" customWidth="1"/>
    <col min="4" max="4" width="14.8515625" style="0" customWidth="1"/>
    <col min="5" max="5" width="15.7109375" style="0" customWidth="1"/>
    <col min="6" max="6" width="13.7109375" style="0" customWidth="1"/>
    <col min="7" max="7" width="15.28125" style="0" customWidth="1"/>
    <col min="8" max="8" width="13.140625" style="0" customWidth="1"/>
    <col min="9" max="9" width="14.57421875" style="0" customWidth="1"/>
    <col min="10" max="11" width="14.421875" style="0" customWidth="1"/>
    <col min="12" max="12" width="11.7109375" style="0" customWidth="1"/>
    <col min="13" max="13" width="12.421875" style="0" customWidth="1"/>
    <col min="14" max="14" width="11.421875" style="0" customWidth="1"/>
    <col min="15" max="15" width="11.57421875" style="0" customWidth="1"/>
    <col min="16" max="16" width="11.7109375" style="0" customWidth="1"/>
    <col min="17" max="19" width="11.8515625" style="0" customWidth="1"/>
    <col min="20" max="20" width="13.28125" style="0" customWidth="1"/>
    <col min="21" max="21" width="12.57421875" style="0" customWidth="1"/>
    <col min="22" max="22" width="13.7109375" style="0" customWidth="1"/>
    <col min="23" max="23" width="15.00390625" style="0" bestFit="1" customWidth="1"/>
  </cols>
  <sheetData>
    <row r="1" spans="1:14" ht="12.75">
      <c r="A1" s="1" t="s">
        <v>5</v>
      </c>
      <c r="B1" s="1"/>
      <c r="C1" s="1"/>
      <c r="L1" s="1" t="s">
        <v>5</v>
      </c>
      <c r="M1" s="1"/>
      <c r="N1" s="1"/>
    </row>
    <row r="2" spans="1:22" ht="12.75">
      <c r="A2" s="1" t="s">
        <v>6</v>
      </c>
      <c r="B2" s="1"/>
      <c r="C2" s="1"/>
      <c r="H2" s="1"/>
      <c r="I2" s="1"/>
      <c r="J2" s="1"/>
      <c r="K2" s="1"/>
      <c r="L2" s="1" t="s">
        <v>7</v>
      </c>
      <c r="M2" s="1"/>
      <c r="N2" s="1"/>
      <c r="U2" s="1"/>
      <c r="V2" s="1"/>
    </row>
    <row r="3" spans="1:22" ht="12.75">
      <c r="A3" s="1"/>
      <c r="B3" s="1"/>
      <c r="C3" s="1"/>
      <c r="H3" s="1"/>
      <c r="I3" s="1"/>
      <c r="J3" s="1"/>
      <c r="K3" s="1"/>
      <c r="U3" s="1"/>
      <c r="V3" s="1"/>
    </row>
    <row r="4" spans="8:22" ht="12.75">
      <c r="H4" s="1"/>
      <c r="I4" s="1"/>
      <c r="J4" s="1"/>
      <c r="K4" s="1"/>
      <c r="U4" s="1"/>
      <c r="V4" s="1"/>
    </row>
    <row r="5" spans="1:22" ht="13.5" thickBot="1">
      <c r="A5" s="1" t="s">
        <v>68</v>
      </c>
      <c r="B5" s="1"/>
      <c r="C5" s="1"/>
      <c r="D5" s="1"/>
      <c r="E5" s="3"/>
      <c r="F5" s="3"/>
      <c r="G5" s="3"/>
      <c r="H5" s="3"/>
      <c r="I5" s="3"/>
      <c r="J5" s="3"/>
      <c r="K5" s="8" t="s">
        <v>38</v>
      </c>
      <c r="L5" s="1" t="s">
        <v>68</v>
      </c>
      <c r="M5" s="1"/>
      <c r="N5" s="1"/>
      <c r="O5" s="1"/>
      <c r="P5" s="1"/>
      <c r="Q5" s="1"/>
      <c r="R5" s="1"/>
      <c r="S5" s="1"/>
      <c r="T5" s="8"/>
      <c r="U5" s="3"/>
      <c r="V5" s="8" t="s">
        <v>39</v>
      </c>
    </row>
    <row r="6" spans="1:22" ht="12.75">
      <c r="A6" s="4"/>
      <c r="B6" s="5" t="s">
        <v>8</v>
      </c>
      <c r="C6" s="17" t="s">
        <v>9</v>
      </c>
      <c r="D6" s="5" t="s">
        <v>10</v>
      </c>
      <c r="E6" s="9" t="s">
        <v>29</v>
      </c>
      <c r="F6" s="9" t="s">
        <v>11</v>
      </c>
      <c r="G6" s="9" t="s">
        <v>31</v>
      </c>
      <c r="H6" s="5" t="s">
        <v>12</v>
      </c>
      <c r="I6" s="5" t="s">
        <v>13</v>
      </c>
      <c r="J6" s="5" t="s">
        <v>14</v>
      </c>
      <c r="K6" s="5" t="s">
        <v>15</v>
      </c>
      <c r="L6" s="5"/>
      <c r="M6" s="5" t="s">
        <v>28</v>
      </c>
      <c r="N6" s="5" t="s">
        <v>16</v>
      </c>
      <c r="O6" s="5" t="s">
        <v>17</v>
      </c>
      <c r="P6" s="5" t="s">
        <v>32</v>
      </c>
      <c r="Q6" s="5" t="s">
        <v>34</v>
      </c>
      <c r="R6" s="5" t="s">
        <v>58</v>
      </c>
      <c r="S6" s="5" t="s">
        <v>60</v>
      </c>
      <c r="T6" s="9" t="s">
        <v>25</v>
      </c>
      <c r="U6" s="5" t="s">
        <v>18</v>
      </c>
      <c r="V6" s="6" t="s">
        <v>37</v>
      </c>
    </row>
    <row r="7" spans="1:22" ht="12.75">
      <c r="A7" s="21"/>
      <c r="B7" s="7" t="s">
        <v>19</v>
      </c>
      <c r="C7" s="18" t="s">
        <v>0</v>
      </c>
      <c r="D7" s="7" t="s">
        <v>20</v>
      </c>
      <c r="E7" s="10" t="s">
        <v>30</v>
      </c>
      <c r="F7" s="7"/>
      <c r="G7" s="7"/>
      <c r="H7" s="7"/>
      <c r="I7" s="7"/>
      <c r="J7" s="7"/>
      <c r="K7" s="7"/>
      <c r="L7" s="7"/>
      <c r="M7" s="7"/>
      <c r="N7" s="7" t="s">
        <v>21</v>
      </c>
      <c r="O7" s="7" t="s">
        <v>27</v>
      </c>
      <c r="P7" s="7" t="s">
        <v>33</v>
      </c>
      <c r="Q7" s="7" t="s">
        <v>35</v>
      </c>
      <c r="R7" s="7" t="s">
        <v>59</v>
      </c>
      <c r="S7" s="7" t="s">
        <v>61</v>
      </c>
      <c r="T7" s="10" t="s">
        <v>26</v>
      </c>
      <c r="U7" s="7"/>
      <c r="V7" s="22"/>
    </row>
    <row r="8" spans="1:22" ht="12.75">
      <c r="A8" s="23">
        <v>2018</v>
      </c>
      <c r="B8" s="2"/>
      <c r="C8" s="2"/>
      <c r="D8" s="2"/>
      <c r="E8" s="11"/>
      <c r="F8" s="2"/>
      <c r="G8" s="2"/>
      <c r="H8" s="2"/>
      <c r="I8" s="2"/>
      <c r="J8" s="2"/>
      <c r="K8" s="2"/>
      <c r="L8" s="7">
        <v>2018</v>
      </c>
      <c r="M8" s="2"/>
      <c r="N8" s="2"/>
      <c r="O8" s="2"/>
      <c r="P8" s="2"/>
      <c r="Q8" s="2"/>
      <c r="R8" s="2"/>
      <c r="S8" s="2" t="s">
        <v>62</v>
      </c>
      <c r="T8" s="11"/>
      <c r="U8" s="2"/>
      <c r="V8" s="24"/>
    </row>
    <row r="9" spans="1:22" ht="12.75">
      <c r="A9" s="21"/>
      <c r="B9" s="7" t="s">
        <v>22</v>
      </c>
      <c r="C9" s="10" t="s">
        <v>22</v>
      </c>
      <c r="D9" s="10" t="s">
        <v>22</v>
      </c>
      <c r="E9" s="10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/>
      <c r="M9" s="7" t="s">
        <v>22</v>
      </c>
      <c r="N9" s="7" t="s">
        <v>1</v>
      </c>
      <c r="O9" s="7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22</v>
      </c>
      <c r="U9" s="7" t="s">
        <v>23</v>
      </c>
      <c r="V9" s="22" t="s">
        <v>23</v>
      </c>
    </row>
    <row r="10" spans="1:23" ht="12.75">
      <c r="A10" s="25" t="s">
        <v>3</v>
      </c>
      <c r="B10" s="12">
        <f>54482.2-4.2</f>
        <v>54478</v>
      </c>
      <c r="C10" s="12">
        <f>9786.8-17.8</f>
        <v>9769</v>
      </c>
      <c r="D10" s="12">
        <f>11064.4-16.4</f>
        <v>11048</v>
      </c>
      <c r="E10" s="12">
        <f>10344.6-0.6</f>
        <v>10344</v>
      </c>
      <c r="F10" s="12">
        <f>11649.4-3.4</f>
        <v>11646</v>
      </c>
      <c r="G10" s="12">
        <f>20122.8-12.8</f>
        <v>20110</v>
      </c>
      <c r="H10" s="12">
        <f>9553.8-6.8</f>
        <v>9547</v>
      </c>
      <c r="I10" s="12">
        <f>42407-811</f>
        <v>41596</v>
      </c>
      <c r="J10" s="12">
        <f>15321.2-15.7</f>
        <v>15305.5</v>
      </c>
      <c r="K10" s="12">
        <f>40352.2-4.2</f>
        <v>40348</v>
      </c>
      <c r="L10" s="13" t="s">
        <v>3</v>
      </c>
      <c r="M10" s="12">
        <f>30231.2-15.2</f>
        <v>30216</v>
      </c>
      <c r="N10" s="12">
        <f>31365.4-15.4</f>
        <v>31350</v>
      </c>
      <c r="O10" s="12">
        <f>22332.4-6.4</f>
        <v>22326</v>
      </c>
      <c r="P10" s="12">
        <f>4496.2-0.2</f>
        <v>4496</v>
      </c>
      <c r="Q10" s="12">
        <f>10189.4-4.4</f>
        <v>10185</v>
      </c>
      <c r="R10" s="12"/>
      <c r="S10" s="12"/>
      <c r="T10" s="12">
        <f>O10+N10+M10+K10+J10+I10+H10+G10+F10+E10+D10+C10+B10+P10+Q10</f>
        <v>322764.5</v>
      </c>
      <c r="U10" s="12">
        <f>3672-221</f>
        <v>3451</v>
      </c>
      <c r="V10" s="26">
        <f>T10+U10</f>
        <v>326215.5</v>
      </c>
      <c r="W10" s="16"/>
    </row>
    <row r="11" spans="1:23" ht="12.75">
      <c r="A11" s="25" t="s">
        <v>4</v>
      </c>
      <c r="B11" s="40">
        <f>54482.2+4.2-2.9</f>
        <v>54483.49999999999</v>
      </c>
      <c r="C11" s="40">
        <f>9454.2-11.7</f>
        <v>9442.5</v>
      </c>
      <c r="D11" s="40">
        <f>11064.4+16.4-9.3</f>
        <v>11071.5</v>
      </c>
      <c r="E11" s="40">
        <f>10344.6+0.6-18.2</f>
        <v>10327</v>
      </c>
      <c r="F11" s="40">
        <f>11649.4+3.4-16.8</f>
        <v>11636</v>
      </c>
      <c r="G11" s="40">
        <f>20122.8+12.8-15.1</f>
        <v>20120.5</v>
      </c>
      <c r="H11" s="40">
        <f>9553.8+6.8-6.6</f>
        <v>9553.999999999998</v>
      </c>
      <c r="I11" s="40">
        <f>42407+811-6</f>
        <v>43212</v>
      </c>
      <c r="J11" s="40">
        <f>15321.2+15.7-7.9</f>
        <v>15329.000000000002</v>
      </c>
      <c r="K11" s="40">
        <f>40352.2+4.2-12.4</f>
        <v>40343.99999999999</v>
      </c>
      <c r="L11" s="13" t="s">
        <v>4</v>
      </c>
      <c r="M11" s="40">
        <f>30231.2+15.2-12.4</f>
        <v>30234</v>
      </c>
      <c r="N11" s="40">
        <f>31365.4+15.4-6.8</f>
        <v>31374.000000000004</v>
      </c>
      <c r="O11" s="40">
        <f>22332.4+6.4-5.3</f>
        <v>22333.500000000004</v>
      </c>
      <c r="P11" s="40">
        <f>39554+0.2-4346.2</f>
        <v>35208</v>
      </c>
      <c r="Q11" s="40">
        <f>10189.4+4.4-35.8</f>
        <v>10158</v>
      </c>
      <c r="R11" s="40"/>
      <c r="S11" s="40"/>
      <c r="T11" s="40">
        <f>O11+N11+M11+K11+J11+I11+H11+G11+F11+E11+D11+C11+B11+P11+Q11</f>
        <v>354827.5</v>
      </c>
      <c r="U11" s="40">
        <f>3672+221-950</f>
        <v>2943</v>
      </c>
      <c r="V11" s="41">
        <f>T11+U11</f>
        <v>357770.5</v>
      </c>
      <c r="W11" s="16"/>
    </row>
    <row r="12" spans="1:23" ht="12.75">
      <c r="A12" s="25" t="s">
        <v>24</v>
      </c>
      <c r="B12" s="40">
        <f>65270.82+2.9-12.22</f>
        <v>65261.5</v>
      </c>
      <c r="C12" s="40">
        <f>10976.95+11.7-18.15</f>
        <v>10970.500000000002</v>
      </c>
      <c r="D12" s="40">
        <f>13506.6+9.3-12.4</f>
        <v>13503.5</v>
      </c>
      <c r="E12" s="40">
        <f>12667.6+18.2-22.8</f>
        <v>12663.000000000002</v>
      </c>
      <c r="F12" s="40">
        <f>9214.2+16.8-7</f>
        <v>9224</v>
      </c>
      <c r="G12" s="40">
        <f>24561.4+15.1-271.5</f>
        <v>24305</v>
      </c>
      <c r="H12" s="40">
        <f>11704+6.6-165.6</f>
        <v>11545</v>
      </c>
      <c r="I12" s="40">
        <f>51702.4+6-18.4</f>
        <v>51690</v>
      </c>
      <c r="J12" s="40">
        <f>18722.8+7.9-1.7</f>
        <v>18729</v>
      </c>
      <c r="K12" s="40">
        <f>48009.2+12.4-13.6</f>
        <v>48008</v>
      </c>
      <c r="L12" s="13" t="s">
        <v>24</v>
      </c>
      <c r="M12" s="40">
        <f>36947+12.4-47.4</f>
        <v>36912</v>
      </c>
      <c r="N12" s="40">
        <f>38222+6.8-16.8</f>
        <v>38212</v>
      </c>
      <c r="O12" s="40">
        <f>27255.6+5.3-130.4</f>
        <v>27130.499999999996</v>
      </c>
      <c r="P12" s="40">
        <f>39843+4346.2-71.7</f>
        <v>44117.5</v>
      </c>
      <c r="Q12" s="40">
        <f>12454+35.8-174.8</f>
        <v>12315</v>
      </c>
      <c r="R12" s="40"/>
      <c r="S12" s="40"/>
      <c r="T12" s="40">
        <f>O12+N12+M12+K12+J12+I12+H12+G12+F12+E12+D12+C12+B12+P12+Q12</f>
        <v>424586.5</v>
      </c>
      <c r="U12" s="40">
        <f>3672+950-1171</f>
        <v>3451</v>
      </c>
      <c r="V12" s="41">
        <f>T12+U12</f>
        <v>428037.5</v>
      </c>
      <c r="W12" s="16"/>
    </row>
    <row r="13" spans="1:23" ht="12.75">
      <c r="A13" s="27" t="s">
        <v>2</v>
      </c>
      <c r="B13" s="15">
        <f>B10+B11+B12</f>
        <v>174223</v>
      </c>
      <c r="C13" s="15">
        <f aca="true" t="shared" si="0" ref="C13:U13">C10+C11+C12</f>
        <v>30182</v>
      </c>
      <c r="D13" s="15">
        <f t="shared" si="0"/>
        <v>35623</v>
      </c>
      <c r="E13" s="15">
        <f t="shared" si="0"/>
        <v>33334</v>
      </c>
      <c r="F13" s="15">
        <f t="shared" si="0"/>
        <v>32506</v>
      </c>
      <c r="G13" s="15">
        <f>G10+G11+G12</f>
        <v>64535.5</v>
      </c>
      <c r="H13" s="15">
        <f t="shared" si="0"/>
        <v>30646</v>
      </c>
      <c r="I13" s="15">
        <f>I10+I11+I12</f>
        <v>136498</v>
      </c>
      <c r="J13" s="15">
        <f t="shared" si="0"/>
        <v>49363.5</v>
      </c>
      <c r="K13" s="15">
        <f t="shared" si="0"/>
        <v>128700</v>
      </c>
      <c r="L13" s="15" t="s">
        <v>36</v>
      </c>
      <c r="M13" s="15">
        <f t="shared" si="0"/>
        <v>97362</v>
      </c>
      <c r="N13" s="15">
        <f>N10+N11+N12</f>
        <v>100936</v>
      </c>
      <c r="O13" s="15">
        <f>O10+O11+O12</f>
        <v>71790</v>
      </c>
      <c r="P13" s="15">
        <f>P10+P11+P12</f>
        <v>83821.5</v>
      </c>
      <c r="Q13" s="15">
        <f>Q10+Q11+Q12</f>
        <v>32658</v>
      </c>
      <c r="R13" s="15"/>
      <c r="S13" s="15"/>
      <c r="T13" s="15">
        <f t="shared" si="0"/>
        <v>1102178.5</v>
      </c>
      <c r="U13" s="15">
        <f t="shared" si="0"/>
        <v>9845</v>
      </c>
      <c r="V13" s="28">
        <f>V10+V11+V12</f>
        <v>1112023.5</v>
      </c>
      <c r="W13" s="16"/>
    </row>
    <row r="14" spans="1:23" ht="12.75">
      <c r="A14" s="7" t="s">
        <v>40</v>
      </c>
      <c r="B14" s="42">
        <f>54003.4+12.22-0.62</f>
        <v>54015</v>
      </c>
      <c r="C14" s="42">
        <f>9622.9+18.15-30.05</f>
        <v>9611</v>
      </c>
      <c r="D14" s="42">
        <f>12037.4+12.4-18.8</f>
        <v>12031</v>
      </c>
      <c r="E14" s="42">
        <f>10549.3+22.8-10.6</f>
        <v>10561.499999999998</v>
      </c>
      <c r="F14" s="42">
        <f>10576.6+7-29.6</f>
        <v>10554</v>
      </c>
      <c r="G14" s="42">
        <f>21955.6+271.5-24.1</f>
        <v>22203</v>
      </c>
      <c r="H14" s="42">
        <f>9660.2+165.6-9.8</f>
        <v>9816.000000000002</v>
      </c>
      <c r="I14" s="42">
        <f>47280.9+18.4-29.3</f>
        <v>47270</v>
      </c>
      <c r="J14" s="42">
        <f>16324.6+1.7-0.3</f>
        <v>16326.000000000002</v>
      </c>
      <c r="K14" s="42">
        <f>44259.1+13.6-18.7</f>
        <v>44254</v>
      </c>
      <c r="L14" s="30" t="s">
        <v>40</v>
      </c>
      <c r="M14" s="42">
        <f>32132.1+47.4-31.5</f>
        <v>32148</v>
      </c>
      <c r="N14" s="42">
        <f>35307.6+16.8-8.4</f>
        <v>35316</v>
      </c>
      <c r="O14" s="42">
        <f>24403.1+130.4-25.5</f>
        <v>24508</v>
      </c>
      <c r="P14" s="42">
        <f>29735.5+71.7-1559.2</f>
        <v>28248</v>
      </c>
      <c r="Q14" s="42">
        <f>10812.7+174.8-22.5</f>
        <v>10965</v>
      </c>
      <c r="R14" s="42"/>
      <c r="S14" s="42"/>
      <c r="T14" s="42">
        <f>B14+C14+D14+E14+F14+G14+H14+I14+J14+K14+M14+N14+O14+P14+Q14</f>
        <v>367826.5</v>
      </c>
      <c r="U14" s="42">
        <f>3672+1171-181</f>
        <v>4662</v>
      </c>
      <c r="V14" s="42">
        <f>T14+U14</f>
        <v>372488.5</v>
      </c>
      <c r="W14" s="37"/>
    </row>
    <row r="15" spans="1:23" ht="12.75">
      <c r="A15" s="13" t="s">
        <v>41</v>
      </c>
      <c r="B15" s="43">
        <f>33129.3+0.62-11.92</f>
        <v>33118.00000000001</v>
      </c>
      <c r="C15" s="43">
        <f>7049.3+30.05-17.85</f>
        <v>7061.5</v>
      </c>
      <c r="D15" s="43">
        <f>9218+18.8-1.8</f>
        <v>9235</v>
      </c>
      <c r="E15" s="43">
        <f>8272.73+10.6-27.33</f>
        <v>8256</v>
      </c>
      <c r="F15" s="43">
        <f>8660+29.6-25.6</f>
        <v>8664</v>
      </c>
      <c r="G15" s="43">
        <f>15112.4+24.1-6.5</f>
        <v>15130</v>
      </c>
      <c r="H15" s="43">
        <f>6941.7+9.8-4.5</f>
        <v>6947</v>
      </c>
      <c r="I15" s="43">
        <f>37526.5+29.3-25.8</f>
        <v>37530</v>
      </c>
      <c r="J15" s="43">
        <f>13966.5+0.3-24.8</f>
        <v>13942</v>
      </c>
      <c r="K15" s="43">
        <f>35556.2+18.7-0.9</f>
        <v>35573.99999999999</v>
      </c>
      <c r="L15" s="39" t="s">
        <v>41</v>
      </c>
      <c r="M15" s="43">
        <f>23535+31.5-10.5</f>
        <v>23556</v>
      </c>
      <c r="N15" s="43">
        <f>37513.3+8.4-27.7</f>
        <v>37494.00000000001</v>
      </c>
      <c r="O15" s="43">
        <f>18084.7+25.5-313.2-23.5</f>
        <v>17773.5</v>
      </c>
      <c r="P15" s="43">
        <f>15896.3+1559.2-476.5</f>
        <v>16979</v>
      </c>
      <c r="Q15" s="43">
        <f>7875.3+22.5-10.8</f>
        <v>7887</v>
      </c>
      <c r="R15" s="43">
        <f>8988-2734.5</f>
        <v>6253.5</v>
      </c>
      <c r="S15" s="43">
        <f>12184.5-5.5</f>
        <v>12179</v>
      </c>
      <c r="T15" s="43">
        <f>B15+C15+D15+E15+F15+G15+H15+I15+J15+K15+M15+N15+O15+P15+Q15+R15+S15</f>
        <v>297579.5</v>
      </c>
      <c r="U15" s="43">
        <v>3578</v>
      </c>
      <c r="V15" s="43">
        <f>T15+U15</f>
        <v>301157.5</v>
      </c>
      <c r="W15" s="37"/>
    </row>
    <row r="16" spans="1:23" ht="12.75">
      <c r="A16" s="7" t="s">
        <v>42</v>
      </c>
      <c r="B16" s="42">
        <f>46324.6+11.92-8.52</f>
        <v>46328</v>
      </c>
      <c r="C16" s="42">
        <f>9856.8+17.85-4.15</f>
        <v>9870.5</v>
      </c>
      <c r="D16" s="42">
        <f>12889.8+1.8-15.1</f>
        <v>12876.499999999998</v>
      </c>
      <c r="E16" s="42">
        <f>11567.6+27.33-10.93</f>
        <v>11584</v>
      </c>
      <c r="F16" s="42">
        <f>12109.1-1073.86+25.6-26.84</f>
        <v>11034</v>
      </c>
      <c r="G16" s="42">
        <f>21131.4+6.5-26.9</f>
        <v>21111</v>
      </c>
      <c r="H16" s="42">
        <f>9706.8+4.5-272.3</f>
        <v>9439</v>
      </c>
      <c r="I16" s="42">
        <f>52473.6+25.8-471.4</f>
        <v>52028</v>
      </c>
      <c r="J16" s="42">
        <f>19529.3+24.8-1.1</f>
        <v>19553</v>
      </c>
      <c r="K16" s="42">
        <f>49718.9+0.9-25.3</f>
        <v>49694.5</v>
      </c>
      <c r="L16" s="30" t="s">
        <v>42</v>
      </c>
      <c r="M16" s="42">
        <f>32909.1+10.5-9.6</f>
        <v>32910</v>
      </c>
      <c r="N16" s="42">
        <f>52455+27.7-0.7</f>
        <v>52482</v>
      </c>
      <c r="O16" s="42">
        <f>25288-626.52+23.5-52.98</f>
        <v>24632</v>
      </c>
      <c r="P16" s="42">
        <f>22227.9+476.5-7.9</f>
        <v>22696.5</v>
      </c>
      <c r="Q16" s="42">
        <f>11012.1+10.8-9.9</f>
        <v>11013</v>
      </c>
      <c r="R16" s="42">
        <f>12567.9+2734.5-65.4</f>
        <v>15237</v>
      </c>
      <c r="S16" s="42">
        <f>17037.4+5.5-17.9</f>
        <v>17025</v>
      </c>
      <c r="T16" s="42">
        <f>B16+C16+D16+E16+F16+G16+H16+I16+J16+K16+M16+N16+O16+P16+Q16+R16+S16</f>
        <v>419514</v>
      </c>
      <c r="U16" s="42">
        <v>2562</v>
      </c>
      <c r="V16" s="42">
        <f>T16+U16</f>
        <v>422076</v>
      </c>
      <c r="W16" s="37"/>
    </row>
    <row r="17" spans="1:23" ht="12.75">
      <c r="A17" s="34" t="s">
        <v>43</v>
      </c>
      <c r="B17" s="35">
        <f aca="true" t="shared" si="1" ref="B17:K17">B14+B15+B16</f>
        <v>133461</v>
      </c>
      <c r="C17" s="35">
        <f t="shared" si="1"/>
        <v>26543</v>
      </c>
      <c r="D17" s="35">
        <f t="shared" si="1"/>
        <v>34142.5</v>
      </c>
      <c r="E17" s="35">
        <f t="shared" si="1"/>
        <v>30401.5</v>
      </c>
      <c r="F17" s="35">
        <f t="shared" si="1"/>
        <v>30252</v>
      </c>
      <c r="G17" s="35">
        <f t="shared" si="1"/>
        <v>58444</v>
      </c>
      <c r="H17" s="35">
        <f t="shared" si="1"/>
        <v>26202</v>
      </c>
      <c r="I17" s="35">
        <f t="shared" si="1"/>
        <v>136828</v>
      </c>
      <c r="J17" s="35">
        <f t="shared" si="1"/>
        <v>49821</v>
      </c>
      <c r="K17" s="35">
        <f t="shared" si="1"/>
        <v>129522.5</v>
      </c>
      <c r="L17" s="36" t="s">
        <v>43</v>
      </c>
      <c r="M17" s="35">
        <f>M14+M15+M16</f>
        <v>88614</v>
      </c>
      <c r="N17" s="35">
        <f>N14+N15+N16</f>
        <v>125292</v>
      </c>
      <c r="O17" s="35">
        <f>O14+O15+O16</f>
        <v>66913.5</v>
      </c>
      <c r="P17" s="35">
        <f>P14+P15+P16</f>
        <v>67923.5</v>
      </c>
      <c r="Q17" s="35">
        <f>Q14+Q15+Q16</f>
        <v>29865</v>
      </c>
      <c r="R17" s="35">
        <f>R15+R16</f>
        <v>21490.5</v>
      </c>
      <c r="S17" s="35">
        <f>S15+S16</f>
        <v>29204</v>
      </c>
      <c r="T17" s="35">
        <f>B17+C17+D17+E17+F17+G17+H17+I17+J17+K17+M17+N17+O17+P17+Q17+R17+S17</f>
        <v>1084920</v>
      </c>
      <c r="U17" s="35">
        <f>U14+U15+U16</f>
        <v>10802</v>
      </c>
      <c r="V17" s="35">
        <f>T17+U17</f>
        <v>1095722</v>
      </c>
      <c r="W17" s="37"/>
    </row>
    <row r="18" spans="1:23" ht="12.75">
      <c r="A18" s="32" t="s">
        <v>53</v>
      </c>
      <c r="B18" s="44">
        <f>B13+B17</f>
        <v>307684</v>
      </c>
      <c r="C18" s="44">
        <f>C13+C17</f>
        <v>56725</v>
      </c>
      <c r="D18" s="44">
        <f>D13+D17</f>
        <v>69765.5</v>
      </c>
      <c r="E18" s="44">
        <f aca="true" t="shared" si="2" ref="E18:K18">E13+E17</f>
        <v>63735.5</v>
      </c>
      <c r="F18" s="44">
        <f t="shared" si="2"/>
        <v>62758</v>
      </c>
      <c r="G18" s="44">
        <f t="shared" si="2"/>
        <v>122979.5</v>
      </c>
      <c r="H18" s="44">
        <f t="shared" si="2"/>
        <v>56848</v>
      </c>
      <c r="I18" s="44">
        <f t="shared" si="2"/>
        <v>273326</v>
      </c>
      <c r="J18" s="44">
        <f t="shared" si="2"/>
        <v>99184.5</v>
      </c>
      <c r="K18" s="44">
        <f t="shared" si="2"/>
        <v>258222.5</v>
      </c>
      <c r="L18" s="33" t="s">
        <v>53</v>
      </c>
      <c r="M18" s="44">
        <f aca="true" t="shared" si="3" ref="M18:S18">M13+M17</f>
        <v>185976</v>
      </c>
      <c r="N18" s="44">
        <f t="shared" si="3"/>
        <v>226228</v>
      </c>
      <c r="O18" s="44">
        <f t="shared" si="3"/>
        <v>138703.5</v>
      </c>
      <c r="P18" s="44">
        <f t="shared" si="3"/>
        <v>151745</v>
      </c>
      <c r="Q18" s="44">
        <f t="shared" si="3"/>
        <v>62523</v>
      </c>
      <c r="R18" s="44">
        <f t="shared" si="3"/>
        <v>21490.5</v>
      </c>
      <c r="S18" s="44">
        <f t="shared" si="3"/>
        <v>29204</v>
      </c>
      <c r="T18" s="44">
        <f>S18+R18+Q18+P18+O18+N18+M18+K18+J18+I18+H18+G18+F18+E18+D18+C18+B18</f>
        <v>2187098.5</v>
      </c>
      <c r="U18" s="44">
        <f>U13+U17</f>
        <v>20647</v>
      </c>
      <c r="V18" s="44">
        <f>V13+V17</f>
        <v>2207745.5</v>
      </c>
      <c r="W18" s="37"/>
    </row>
    <row r="19" spans="1:23" ht="12.75">
      <c r="A19" s="7" t="s">
        <v>44</v>
      </c>
      <c r="B19" s="42">
        <f>36732.6-335.16+8.52-0.96</f>
        <v>36404.99999999999</v>
      </c>
      <c r="C19" s="42">
        <f>7816+4.15-16.15</f>
        <v>7804</v>
      </c>
      <c r="D19" s="42">
        <f>10220.9+15.1-23.5</f>
        <v>10212.5</v>
      </c>
      <c r="E19" s="42">
        <f>9172.5+10.93-3.43</f>
        <v>9180</v>
      </c>
      <c r="F19" s="42">
        <f>9601.8-1073.86+26.84-16.78</f>
        <v>8537.999999999998</v>
      </c>
      <c r="G19" s="42">
        <f>16756.2+26.9-28.1</f>
        <v>16755.000000000004</v>
      </c>
      <c r="H19" s="42">
        <f>7696.5+272.3-180.8</f>
        <v>7788</v>
      </c>
      <c r="I19" s="42">
        <f>41608.7+471.4-864.1</f>
        <v>41216</v>
      </c>
      <c r="J19" s="42">
        <f>15485.6+1.1-17.2</f>
        <v>15469.5</v>
      </c>
      <c r="K19" s="42">
        <f>39424.4+25.3-31.7</f>
        <v>39418.00000000001</v>
      </c>
      <c r="L19" s="30" t="s">
        <v>44</v>
      </c>
      <c r="M19" s="42">
        <f>26095.2+9.6-4.8</f>
        <v>26100</v>
      </c>
      <c r="N19" s="42">
        <f>41593.8+0.7-6</f>
        <v>41588.5</v>
      </c>
      <c r="O19" s="42">
        <f>20052-626.52+52.98-16.46</f>
        <v>19462</v>
      </c>
      <c r="P19" s="42">
        <f>17625.6+7.9-23</f>
        <v>17610.5</v>
      </c>
      <c r="Q19" s="42">
        <f>8732.1+9.9-27</f>
        <v>8715</v>
      </c>
      <c r="R19" s="42">
        <f>9965.6+65.4-29</f>
        <v>10002</v>
      </c>
      <c r="S19" s="42">
        <f>13509.9+17.9-33.8</f>
        <v>13494</v>
      </c>
      <c r="T19" s="42">
        <f>S19+R19+Q19+P19+O19+N19+M19+K19+J19+I19+H19+G19+F19+E19+D19+C19+B19</f>
        <v>329758</v>
      </c>
      <c r="U19" s="42">
        <f>3705+181-256</f>
        <v>3630</v>
      </c>
      <c r="V19" s="42">
        <f>T19+U19</f>
        <v>333388</v>
      </c>
      <c r="W19" s="37"/>
    </row>
    <row r="20" spans="1:22" ht="12.75">
      <c r="A20" s="7" t="s">
        <v>45</v>
      </c>
      <c r="B20" s="42">
        <f>36732.8-1154.67+0.96</f>
        <v>35579.090000000004</v>
      </c>
      <c r="C20" s="42">
        <f>7816+16.15</f>
        <v>7832.15</v>
      </c>
      <c r="D20" s="42">
        <f>10220.9+23.5</f>
        <v>10244.4</v>
      </c>
      <c r="E20" s="42">
        <f>9172.3+3.43</f>
        <v>9175.73</v>
      </c>
      <c r="F20" s="42">
        <f>9601.8-1073.86+16.78</f>
        <v>8544.72</v>
      </c>
      <c r="G20" s="42">
        <f>16756.2+28.1</f>
        <v>16784.3</v>
      </c>
      <c r="H20" s="42">
        <f>7696.5+180.8</f>
        <v>7877.3</v>
      </c>
      <c r="I20" s="42">
        <f>41608.7+864.1</f>
        <v>42472.799999999996</v>
      </c>
      <c r="J20" s="42">
        <f>15485.6+17.2</f>
        <v>15502.800000000001</v>
      </c>
      <c r="K20" s="42">
        <f>39424.4+31.7</f>
        <v>39456.1</v>
      </c>
      <c r="L20" s="30" t="s">
        <v>55</v>
      </c>
      <c r="M20" s="42">
        <f>26095.2+4.8</f>
        <v>26100</v>
      </c>
      <c r="N20" s="42">
        <f>41593.8+6</f>
        <v>41599.8</v>
      </c>
      <c r="O20" s="42">
        <f>20052-626.52+16.46</f>
        <v>19441.94</v>
      </c>
      <c r="P20" s="42">
        <f>17625.6+23</f>
        <v>17648.6</v>
      </c>
      <c r="Q20" s="42">
        <f>8732.1+27</f>
        <v>8759.1</v>
      </c>
      <c r="R20" s="42">
        <f>9965.6+29</f>
        <v>9994.6</v>
      </c>
      <c r="S20" s="42">
        <f>13509.9+33.8</f>
        <v>13543.699999999999</v>
      </c>
      <c r="T20" s="42">
        <f>S20+R20+Q20+P20+O20+N20+M20+K20+J20+I20+H20+G20+F20+E20+D20+C20+B20</f>
        <v>330557.13</v>
      </c>
      <c r="U20" s="42">
        <f>3672+256</f>
        <v>3928</v>
      </c>
      <c r="V20" s="42">
        <f>T20+U20</f>
        <v>334485.13</v>
      </c>
    </row>
    <row r="21" spans="1:22" ht="12.75">
      <c r="A21" s="7" t="s">
        <v>46</v>
      </c>
      <c r="B21" s="42">
        <f>46324.7-1154.67</f>
        <v>45170.03</v>
      </c>
      <c r="C21" s="42">
        <v>9856.8</v>
      </c>
      <c r="D21" s="42">
        <v>12889.5</v>
      </c>
      <c r="E21" s="42">
        <v>11567.3</v>
      </c>
      <c r="F21" s="42">
        <f>12109.1-1073.86</f>
        <v>11035.24</v>
      </c>
      <c r="G21" s="42">
        <v>21131.7</v>
      </c>
      <c r="H21" s="42">
        <v>9706.5</v>
      </c>
      <c r="I21" s="42">
        <v>52473.6</v>
      </c>
      <c r="J21" s="42">
        <v>19529.4</v>
      </c>
      <c r="K21" s="42">
        <v>49718.6</v>
      </c>
      <c r="L21" s="30" t="s">
        <v>46</v>
      </c>
      <c r="M21" s="42">
        <v>32909.1</v>
      </c>
      <c r="N21" s="42">
        <v>52455</v>
      </c>
      <c r="O21" s="42">
        <f>25288-626.52</f>
        <v>24661.48</v>
      </c>
      <c r="P21" s="42">
        <v>22227.9</v>
      </c>
      <c r="Q21" s="42">
        <v>11012.1</v>
      </c>
      <c r="R21" s="42">
        <v>12568.2</v>
      </c>
      <c r="S21" s="42">
        <v>17037.7</v>
      </c>
      <c r="T21" s="42">
        <f>S21+R21+Q21+P21+O21+N21+M21+K21+J21+I21+H21+G21+F21+E21+D21+C21+B21</f>
        <v>415950.15</v>
      </c>
      <c r="U21" s="42">
        <v>3672</v>
      </c>
      <c r="V21" s="42">
        <f>T21+U21</f>
        <v>419622.15</v>
      </c>
    </row>
    <row r="22" spans="1:23" ht="12.75">
      <c r="A22" s="34" t="s">
        <v>47</v>
      </c>
      <c r="B22" s="35">
        <f aca="true" t="shared" si="4" ref="B22:K22">B19+B20+B21</f>
        <v>117154.12</v>
      </c>
      <c r="C22" s="35">
        <f t="shared" si="4"/>
        <v>25492.949999999997</v>
      </c>
      <c r="D22" s="35">
        <f t="shared" si="4"/>
        <v>33346.4</v>
      </c>
      <c r="E22" s="35">
        <f t="shared" si="4"/>
        <v>29923.03</v>
      </c>
      <c r="F22" s="35">
        <f t="shared" si="4"/>
        <v>28117.96</v>
      </c>
      <c r="G22" s="35">
        <f t="shared" si="4"/>
        <v>54671</v>
      </c>
      <c r="H22" s="35">
        <f t="shared" si="4"/>
        <v>25371.8</v>
      </c>
      <c r="I22" s="35">
        <f t="shared" si="4"/>
        <v>136162.4</v>
      </c>
      <c r="J22" s="35">
        <f t="shared" si="4"/>
        <v>50501.700000000004</v>
      </c>
      <c r="K22" s="35">
        <f t="shared" si="4"/>
        <v>128592.70000000001</v>
      </c>
      <c r="L22" s="36" t="s">
        <v>47</v>
      </c>
      <c r="M22" s="35">
        <f aca="true" t="shared" si="5" ref="M22:V22">M19+M20+M21</f>
        <v>85109.1</v>
      </c>
      <c r="N22" s="35">
        <f t="shared" si="5"/>
        <v>135643.3</v>
      </c>
      <c r="O22" s="35">
        <f t="shared" si="5"/>
        <v>63565.42</v>
      </c>
      <c r="P22" s="35">
        <f t="shared" si="5"/>
        <v>57487</v>
      </c>
      <c r="Q22" s="35">
        <f t="shared" si="5"/>
        <v>28486.199999999997</v>
      </c>
      <c r="R22" s="35">
        <f t="shared" si="5"/>
        <v>32564.8</v>
      </c>
      <c r="S22" s="35">
        <f t="shared" si="5"/>
        <v>44075.399999999994</v>
      </c>
      <c r="T22" s="35">
        <f t="shared" si="5"/>
        <v>1076265.28</v>
      </c>
      <c r="U22" s="35">
        <f t="shared" si="5"/>
        <v>11230</v>
      </c>
      <c r="V22" s="35">
        <f t="shared" si="5"/>
        <v>1087495.28</v>
      </c>
      <c r="W22" s="37"/>
    </row>
    <row r="23" spans="1:22" ht="12.75">
      <c r="A23" s="7" t="s">
        <v>48</v>
      </c>
      <c r="B23" s="42">
        <f>22266.9-1154.67</f>
        <v>21112.230000000003</v>
      </c>
      <c r="C23" s="42">
        <v>4737.9</v>
      </c>
      <c r="D23" s="42">
        <v>6195.8</v>
      </c>
      <c r="E23" s="42">
        <v>5560.4</v>
      </c>
      <c r="F23" s="42">
        <f>5820.5-1073.86</f>
        <v>4746.64</v>
      </c>
      <c r="G23" s="42">
        <v>10157.4</v>
      </c>
      <c r="H23" s="42">
        <v>4665.6</v>
      </c>
      <c r="I23" s="42">
        <v>25222.7</v>
      </c>
      <c r="J23" s="42">
        <v>9387.3</v>
      </c>
      <c r="K23" s="42">
        <v>23898.7</v>
      </c>
      <c r="L23" s="30" t="s">
        <v>56</v>
      </c>
      <c r="M23" s="42">
        <v>15818.4</v>
      </c>
      <c r="N23" s="42">
        <v>25213.8</v>
      </c>
      <c r="O23" s="42">
        <f>12155.4-626.52</f>
        <v>11528.88</v>
      </c>
      <c r="P23" s="42">
        <v>10684.6</v>
      </c>
      <c r="Q23" s="42">
        <v>5292.9</v>
      </c>
      <c r="R23" s="42">
        <v>6041.4</v>
      </c>
      <c r="S23" s="42">
        <v>8189.7</v>
      </c>
      <c r="T23" s="42">
        <f>S23+R23+Q23+P23+O23+N23+M23+K23+J23+I23+H23+G23+F23+E23+D23+C23+B23</f>
        <v>198454.35</v>
      </c>
      <c r="U23" s="42">
        <v>3672</v>
      </c>
      <c r="V23" s="42">
        <f>U23+T23</f>
        <v>202126.35</v>
      </c>
    </row>
    <row r="24" spans="1:22" ht="12.75">
      <c r="A24" s="7" t="s">
        <v>49</v>
      </c>
      <c r="B24" s="42">
        <f>22266.9-1154.67</f>
        <v>21112.230000000003</v>
      </c>
      <c r="C24" s="42">
        <v>4737.9</v>
      </c>
      <c r="D24" s="42">
        <v>6195.8</v>
      </c>
      <c r="E24" s="42">
        <v>5560.4</v>
      </c>
      <c r="F24" s="42">
        <f>5820.5-1073.86</f>
        <v>4746.64</v>
      </c>
      <c r="G24" s="42">
        <v>10157.4</v>
      </c>
      <c r="H24" s="42">
        <v>4665.6</v>
      </c>
      <c r="I24" s="42">
        <v>25222.7</v>
      </c>
      <c r="J24" s="42">
        <v>9387.3</v>
      </c>
      <c r="K24" s="42">
        <v>23898.7</v>
      </c>
      <c r="L24" s="30" t="s">
        <v>57</v>
      </c>
      <c r="M24" s="42">
        <v>15818.4</v>
      </c>
      <c r="N24" s="42">
        <v>25213.8</v>
      </c>
      <c r="O24" s="42">
        <f>12155.4-626.52</f>
        <v>11528.88</v>
      </c>
      <c r="P24" s="42">
        <v>10684.6</v>
      </c>
      <c r="Q24" s="42">
        <v>5292.9</v>
      </c>
      <c r="R24" s="42">
        <v>6041.4</v>
      </c>
      <c r="S24" s="42">
        <v>8189.7</v>
      </c>
      <c r="T24" s="42">
        <f>S24+R24+Q24+P24+O24+N24+M24+K24+J24+I24+H24+G24+F24+E24+D24+C24+B24</f>
        <v>198454.35</v>
      </c>
      <c r="U24" s="42">
        <v>3672</v>
      </c>
      <c r="V24" s="42">
        <f>T24+U24</f>
        <v>202126.35</v>
      </c>
    </row>
    <row r="25" spans="1:22" ht="12.75">
      <c r="A25" s="7" t="s">
        <v>50</v>
      </c>
      <c r="B25" s="42">
        <f>46054.6-1154.67</f>
        <v>44899.93</v>
      </c>
      <c r="C25" s="42">
        <v>9799.4</v>
      </c>
      <c r="D25" s="42">
        <v>12814.5</v>
      </c>
      <c r="E25" s="42">
        <v>11500.6</v>
      </c>
      <c r="F25" s="42">
        <f>12038.6-1073.86</f>
        <v>10964.74</v>
      </c>
      <c r="G25" s="42">
        <v>21008.4</v>
      </c>
      <c r="H25" s="42">
        <v>9650.1</v>
      </c>
      <c r="I25" s="42">
        <v>52168</v>
      </c>
      <c r="J25" s="42">
        <v>19415.7</v>
      </c>
      <c r="K25" s="42">
        <v>49429.1</v>
      </c>
      <c r="L25" s="30" t="s">
        <v>50</v>
      </c>
      <c r="M25" s="42">
        <v>32717.4</v>
      </c>
      <c r="N25" s="42">
        <v>52149.4</v>
      </c>
      <c r="O25" s="42">
        <f>25140.8-626.52</f>
        <v>24514.28</v>
      </c>
      <c r="P25" s="42">
        <v>22098.5</v>
      </c>
      <c r="Q25" s="42">
        <v>10947</v>
      </c>
      <c r="R25" s="42">
        <v>12494.9</v>
      </c>
      <c r="S25" s="42">
        <v>16938.2</v>
      </c>
      <c r="T25" s="42">
        <f>S25+R25+Q25+P25+O25+N25+M25+K25+J25+I25+H25+G25+F25+E25+D25+C25+B25</f>
        <v>413510.14999999997</v>
      </c>
      <c r="U25" s="42">
        <v>3672</v>
      </c>
      <c r="V25" s="42">
        <f>T25+U25</f>
        <v>417182.14999999997</v>
      </c>
    </row>
    <row r="26" spans="1:23" ht="12.75">
      <c r="A26" s="34" t="s">
        <v>51</v>
      </c>
      <c r="B26" s="35">
        <f>B23+B24+B25</f>
        <v>87124.39000000001</v>
      </c>
      <c r="C26" s="35">
        <f>C23+C24+C25</f>
        <v>19275.199999999997</v>
      </c>
      <c r="D26" s="35">
        <f>D23+D24+D25</f>
        <v>25206.1</v>
      </c>
      <c r="E26" s="35">
        <f aca="true" t="shared" si="6" ref="E26:K26">E23+E24+E25</f>
        <v>22621.4</v>
      </c>
      <c r="F26" s="35">
        <f t="shared" si="6"/>
        <v>20458.02</v>
      </c>
      <c r="G26" s="35">
        <f t="shared" si="6"/>
        <v>41323.2</v>
      </c>
      <c r="H26" s="35">
        <f t="shared" si="6"/>
        <v>18981.300000000003</v>
      </c>
      <c r="I26" s="35">
        <f t="shared" si="6"/>
        <v>102613.4</v>
      </c>
      <c r="J26" s="35">
        <f t="shared" si="6"/>
        <v>38190.3</v>
      </c>
      <c r="K26" s="35">
        <f t="shared" si="6"/>
        <v>97226.5</v>
      </c>
      <c r="L26" s="36" t="s">
        <v>51</v>
      </c>
      <c r="M26" s="35">
        <f aca="true" t="shared" si="7" ref="M26:V26">M23+M24+M25</f>
        <v>64354.2</v>
      </c>
      <c r="N26" s="35">
        <f t="shared" si="7"/>
        <v>102577</v>
      </c>
      <c r="O26" s="35">
        <f t="shared" si="7"/>
        <v>47572.03999999999</v>
      </c>
      <c r="P26" s="35">
        <f t="shared" si="7"/>
        <v>43467.7</v>
      </c>
      <c r="Q26" s="35">
        <f t="shared" si="7"/>
        <v>21532.8</v>
      </c>
      <c r="R26" s="35">
        <f t="shared" si="7"/>
        <v>24577.699999999997</v>
      </c>
      <c r="S26" s="35">
        <f t="shared" si="7"/>
        <v>33317.6</v>
      </c>
      <c r="T26" s="35">
        <f t="shared" si="7"/>
        <v>810418.85</v>
      </c>
      <c r="U26" s="35">
        <f t="shared" si="7"/>
        <v>11016</v>
      </c>
      <c r="V26" s="35">
        <f t="shared" si="7"/>
        <v>821434.85</v>
      </c>
      <c r="W26" s="37"/>
    </row>
    <row r="27" spans="1:22" ht="12.75">
      <c r="A27" s="32" t="s">
        <v>54</v>
      </c>
      <c r="B27" s="44">
        <f aca="true" t="shared" si="8" ref="B27:K27">B22+B26</f>
        <v>204278.51</v>
      </c>
      <c r="C27" s="44">
        <f t="shared" si="8"/>
        <v>44768.149999999994</v>
      </c>
      <c r="D27" s="44">
        <f t="shared" si="8"/>
        <v>58552.5</v>
      </c>
      <c r="E27" s="44">
        <f t="shared" si="8"/>
        <v>52544.43</v>
      </c>
      <c r="F27" s="44">
        <f t="shared" si="8"/>
        <v>48575.979999999996</v>
      </c>
      <c r="G27" s="44">
        <f t="shared" si="8"/>
        <v>95994.2</v>
      </c>
      <c r="H27" s="44">
        <f t="shared" si="8"/>
        <v>44353.100000000006</v>
      </c>
      <c r="I27" s="44">
        <f t="shared" si="8"/>
        <v>238775.8</v>
      </c>
      <c r="J27" s="44">
        <f t="shared" si="8"/>
        <v>88692</v>
      </c>
      <c r="K27" s="44">
        <f t="shared" si="8"/>
        <v>225819.2</v>
      </c>
      <c r="L27" s="33" t="s">
        <v>54</v>
      </c>
      <c r="M27" s="44">
        <f aca="true" t="shared" si="9" ref="M27:V27">M22+M26</f>
        <v>149463.3</v>
      </c>
      <c r="N27" s="44">
        <f t="shared" si="9"/>
        <v>238220.3</v>
      </c>
      <c r="O27" s="44">
        <f t="shared" si="9"/>
        <v>111137.45999999999</v>
      </c>
      <c r="P27" s="44">
        <f t="shared" si="9"/>
        <v>100954.7</v>
      </c>
      <c r="Q27" s="44">
        <f t="shared" si="9"/>
        <v>50019</v>
      </c>
      <c r="R27" s="44">
        <f t="shared" si="9"/>
        <v>57142.5</v>
      </c>
      <c r="S27" s="44">
        <f t="shared" si="9"/>
        <v>77393</v>
      </c>
      <c r="T27" s="44">
        <f t="shared" si="9"/>
        <v>1886684.13</v>
      </c>
      <c r="U27" s="44">
        <f t="shared" si="9"/>
        <v>22246</v>
      </c>
      <c r="V27" s="44">
        <f t="shared" si="9"/>
        <v>1908930.13</v>
      </c>
    </row>
    <row r="28" spans="1:22" ht="12.75">
      <c r="A28" s="32" t="s">
        <v>65</v>
      </c>
      <c r="B28" s="44">
        <v>-0.96</v>
      </c>
      <c r="C28" s="44">
        <v>-16.15</v>
      </c>
      <c r="D28" s="44">
        <v>-23.5</v>
      </c>
      <c r="E28" s="44">
        <v>-3.43</v>
      </c>
      <c r="F28" s="44">
        <v>-16.78</v>
      </c>
      <c r="G28" s="44">
        <v>-28.1</v>
      </c>
      <c r="H28" s="44">
        <v>-180.8</v>
      </c>
      <c r="I28" s="44">
        <v>-864.1</v>
      </c>
      <c r="J28" s="44">
        <v>-17.2</v>
      </c>
      <c r="K28" s="44">
        <v>-31.7</v>
      </c>
      <c r="L28" s="32" t="s">
        <v>65</v>
      </c>
      <c r="M28" s="44">
        <v>-4.8</v>
      </c>
      <c r="N28" s="44">
        <v>-6</v>
      </c>
      <c r="O28" s="44">
        <v>-16.46</v>
      </c>
      <c r="P28" s="44">
        <v>-23</v>
      </c>
      <c r="Q28" s="44">
        <v>-27</v>
      </c>
      <c r="R28" s="44">
        <v>-29</v>
      </c>
      <c r="S28" s="44">
        <v>-33.8</v>
      </c>
      <c r="T28" s="44">
        <f>S28+R28+Q28+P28+O28++N28+M28+K28+J28+I28+H28+G28+F28+E28+D28+C28+B28</f>
        <v>-1322.78</v>
      </c>
      <c r="U28" s="44">
        <v>-256</v>
      </c>
      <c r="V28" s="44"/>
    </row>
    <row r="29" spans="1:22" ht="12.75">
      <c r="A29" s="32" t="s">
        <v>66</v>
      </c>
      <c r="B29" s="44">
        <v>0.96</v>
      </c>
      <c r="C29" s="44">
        <v>16.15</v>
      </c>
      <c r="D29" s="44">
        <v>23.5</v>
      </c>
      <c r="E29" s="44">
        <v>3.43</v>
      </c>
      <c r="F29" s="44">
        <v>16.78</v>
      </c>
      <c r="G29" s="44">
        <v>28.1</v>
      </c>
      <c r="H29" s="44">
        <v>180.8</v>
      </c>
      <c r="I29" s="44">
        <v>864.1</v>
      </c>
      <c r="J29" s="44">
        <v>17.2</v>
      </c>
      <c r="K29" s="44">
        <v>31.7</v>
      </c>
      <c r="L29" s="32" t="s">
        <v>67</v>
      </c>
      <c r="M29" s="44">
        <v>4.8</v>
      </c>
      <c r="N29" s="44">
        <v>6</v>
      </c>
      <c r="O29" s="44">
        <v>16.46</v>
      </c>
      <c r="P29" s="44">
        <v>23</v>
      </c>
      <c r="Q29" s="44">
        <v>27</v>
      </c>
      <c r="R29" s="44">
        <v>29</v>
      </c>
      <c r="S29" s="44">
        <v>33.8</v>
      </c>
      <c r="T29" s="44">
        <f>B29+C29+D29+E29+F29+G29+H29+I29+J29+M29+N29+O29+P29+Q29+R29+S29+K29</f>
        <v>1322.7800000000002</v>
      </c>
      <c r="U29" s="44">
        <v>256</v>
      </c>
      <c r="V29" s="44"/>
    </row>
    <row r="30" spans="1:22" ht="12.75">
      <c r="A30" s="7" t="s">
        <v>63</v>
      </c>
      <c r="B30" s="42">
        <f>B15+B16+B19+B20+B21+B23+B24+B25</f>
        <v>283724.51</v>
      </c>
      <c r="C30" s="42">
        <f>C15+C16+C22+C26</f>
        <v>61700.149999999994</v>
      </c>
      <c r="D30" s="42">
        <f aca="true" t="shared" si="10" ref="D30:K30">D15+D16+D27</f>
        <v>80664</v>
      </c>
      <c r="E30" s="42">
        <f t="shared" si="10"/>
        <v>72384.43</v>
      </c>
      <c r="F30" s="42">
        <f t="shared" si="10"/>
        <v>68273.98</v>
      </c>
      <c r="G30" s="42">
        <f t="shared" si="10"/>
        <v>132235.2</v>
      </c>
      <c r="H30" s="42">
        <f t="shared" si="10"/>
        <v>60739.100000000006</v>
      </c>
      <c r="I30" s="42">
        <f t="shared" si="10"/>
        <v>328333.8</v>
      </c>
      <c r="J30" s="42">
        <f t="shared" si="10"/>
        <v>122187</v>
      </c>
      <c r="K30" s="42">
        <f t="shared" si="10"/>
        <v>311087.7</v>
      </c>
      <c r="L30" s="30" t="s">
        <v>64</v>
      </c>
      <c r="M30" s="42">
        <f aca="true" t="shared" si="11" ref="M30:V30">M15+M16+M27</f>
        <v>205929.3</v>
      </c>
      <c r="N30" s="42">
        <f t="shared" si="11"/>
        <v>328196.3</v>
      </c>
      <c r="O30" s="42">
        <f t="shared" si="11"/>
        <v>153542.96</v>
      </c>
      <c r="P30" s="42">
        <f t="shared" si="11"/>
        <v>140630.2</v>
      </c>
      <c r="Q30" s="42">
        <f t="shared" si="11"/>
        <v>68919</v>
      </c>
      <c r="R30" s="42">
        <f t="shared" si="11"/>
        <v>78633</v>
      </c>
      <c r="S30" s="42">
        <f t="shared" si="11"/>
        <v>106597</v>
      </c>
      <c r="T30" s="42">
        <f t="shared" si="11"/>
        <v>2603777.63</v>
      </c>
      <c r="U30" s="42">
        <f t="shared" si="11"/>
        <v>28386</v>
      </c>
      <c r="V30" s="42">
        <f t="shared" si="11"/>
        <v>2632163.63</v>
      </c>
    </row>
    <row r="31" spans="1:23" ht="12.75">
      <c r="A31" s="7" t="s">
        <v>52</v>
      </c>
      <c r="B31" s="42">
        <f aca="true" t="shared" si="12" ref="B31:K31">B18+B27</f>
        <v>511962.51</v>
      </c>
      <c r="C31" s="42">
        <f t="shared" si="12"/>
        <v>101493.15</v>
      </c>
      <c r="D31" s="42">
        <f t="shared" si="12"/>
        <v>128318</v>
      </c>
      <c r="E31" s="42">
        <f t="shared" si="12"/>
        <v>116279.93</v>
      </c>
      <c r="F31" s="42">
        <f t="shared" si="12"/>
        <v>111333.98</v>
      </c>
      <c r="G31" s="42">
        <f t="shared" si="12"/>
        <v>218973.7</v>
      </c>
      <c r="H31" s="42">
        <f t="shared" si="12"/>
        <v>101201.1</v>
      </c>
      <c r="I31" s="42">
        <f t="shared" si="12"/>
        <v>512101.8</v>
      </c>
      <c r="J31" s="42">
        <f t="shared" si="12"/>
        <v>187876.5</v>
      </c>
      <c r="K31" s="42">
        <f t="shared" si="12"/>
        <v>484041.7</v>
      </c>
      <c r="L31" s="30" t="s">
        <v>52</v>
      </c>
      <c r="M31" s="42">
        <f aca="true" t="shared" si="13" ref="M31:V31">M18+M27</f>
        <v>335439.3</v>
      </c>
      <c r="N31" s="45">
        <f t="shared" si="13"/>
        <v>464448.3</v>
      </c>
      <c r="O31" s="42">
        <f t="shared" si="13"/>
        <v>249840.96</v>
      </c>
      <c r="P31" s="42">
        <f t="shared" si="13"/>
        <v>252699.7</v>
      </c>
      <c r="Q31" s="42">
        <f t="shared" si="13"/>
        <v>112542</v>
      </c>
      <c r="R31" s="42">
        <f t="shared" si="13"/>
        <v>78633</v>
      </c>
      <c r="S31" s="42">
        <f t="shared" si="13"/>
        <v>106597</v>
      </c>
      <c r="T31" s="42">
        <f t="shared" si="13"/>
        <v>4073782.63</v>
      </c>
      <c r="U31" s="42">
        <f t="shared" si="13"/>
        <v>42893</v>
      </c>
      <c r="V31" s="42">
        <f t="shared" si="13"/>
        <v>4116675.63</v>
      </c>
      <c r="W31" s="37"/>
    </row>
    <row r="32" spans="1:25" ht="12.75">
      <c r="A32" s="1"/>
      <c r="B32" s="1"/>
      <c r="C32" s="1"/>
      <c r="H32" s="1"/>
      <c r="I32" s="1"/>
      <c r="J32" s="1"/>
      <c r="M32" s="1"/>
      <c r="N32" s="1"/>
      <c r="O32" s="1"/>
      <c r="S32" s="1"/>
      <c r="T32" s="1"/>
      <c r="U32" s="1"/>
      <c r="V32" s="1"/>
      <c r="W32" s="1"/>
      <c r="Y32" s="37"/>
    </row>
    <row r="33" spans="1:27" ht="12.75">
      <c r="A33" s="1"/>
      <c r="B33" s="1"/>
      <c r="C33" s="1"/>
      <c r="H33" s="1"/>
      <c r="I33" s="1"/>
      <c r="J33" s="1"/>
      <c r="M33" s="1"/>
      <c r="N33" s="1"/>
      <c r="O33" s="1"/>
      <c r="S33" s="1"/>
      <c r="T33" s="1"/>
      <c r="U33" s="1"/>
      <c r="V33" s="1"/>
      <c r="W33" s="1"/>
      <c r="X33" s="38"/>
      <c r="Y33" s="37"/>
      <c r="AA33" s="8"/>
    </row>
    <row r="34" spans="2:25" ht="12.75">
      <c r="B34" s="19"/>
      <c r="C34" s="19"/>
      <c r="D34" s="19"/>
      <c r="E34" s="16"/>
      <c r="G34" s="19"/>
      <c r="H34" s="19"/>
      <c r="I34" s="19"/>
      <c r="J34" s="16"/>
      <c r="K34" s="16"/>
      <c r="L34" s="1"/>
      <c r="M34" s="19"/>
      <c r="N34" s="19"/>
      <c r="O34" s="16"/>
      <c r="P34" s="16"/>
      <c r="Q34" s="16"/>
      <c r="R34" s="16"/>
      <c r="S34" s="16"/>
      <c r="T34" s="19"/>
      <c r="U34" s="1"/>
      <c r="V34" s="20"/>
      <c r="X34" s="8"/>
      <c r="Y34" s="8"/>
    </row>
    <row r="35" spans="2:25" ht="12.75">
      <c r="B35" s="19"/>
      <c r="C35" s="19"/>
      <c r="D35" s="19"/>
      <c r="E35" s="16"/>
      <c r="G35" s="19"/>
      <c r="H35" s="19"/>
      <c r="I35" s="19"/>
      <c r="J35" s="16"/>
      <c r="K35" s="16"/>
      <c r="L35" s="1"/>
      <c r="M35" s="19"/>
      <c r="N35" s="19"/>
      <c r="O35" s="16"/>
      <c r="P35" s="16"/>
      <c r="Q35" s="16"/>
      <c r="R35" s="16"/>
      <c r="S35" s="16"/>
      <c r="T35" s="19"/>
      <c r="U35" s="1"/>
      <c r="V35" s="20"/>
      <c r="X35" s="8"/>
      <c r="Y35" s="8"/>
    </row>
    <row r="36" spans="2:25" ht="12.75">
      <c r="B36" s="19"/>
      <c r="C36" s="19"/>
      <c r="D36" s="19"/>
      <c r="E36" s="16"/>
      <c r="G36" s="19"/>
      <c r="H36" s="19"/>
      <c r="I36" s="19"/>
      <c r="J36" s="16"/>
      <c r="K36" s="16"/>
      <c r="L36" s="1"/>
      <c r="M36" s="19"/>
      <c r="N36" s="19"/>
      <c r="O36" s="16"/>
      <c r="P36" s="16"/>
      <c r="Q36" s="16"/>
      <c r="R36" s="16"/>
      <c r="S36" s="16"/>
      <c r="T36" s="19"/>
      <c r="U36" s="1"/>
      <c r="V36" s="20"/>
      <c r="X36" s="8"/>
      <c r="Y36" s="8"/>
    </row>
    <row r="37" spans="20:24" ht="12.75">
      <c r="T37" s="1"/>
      <c r="X37" s="8"/>
    </row>
    <row r="38" spans="1:21" ht="12.75">
      <c r="A38" s="31"/>
      <c r="D38" s="16"/>
      <c r="E38" s="37"/>
      <c r="F38" s="16"/>
      <c r="H38" s="1"/>
      <c r="I38" s="1"/>
      <c r="J38" s="1"/>
      <c r="K38" s="31"/>
      <c r="N38" s="1"/>
      <c r="O38" s="1"/>
      <c r="P38" s="1"/>
      <c r="Q38" s="1"/>
      <c r="R38" s="1"/>
      <c r="S38" s="1"/>
      <c r="T38" s="1"/>
      <c r="U38" s="8"/>
    </row>
    <row r="39" spans="1:21" ht="12.75">
      <c r="A39" s="31"/>
      <c r="D39" s="38"/>
      <c r="H39" s="1"/>
      <c r="I39" s="1"/>
      <c r="J39" s="1"/>
      <c r="K39" s="31"/>
      <c r="S39" s="1"/>
      <c r="T39" s="1"/>
      <c r="U39" s="8"/>
    </row>
    <row r="40" spans="4:23" ht="12.75">
      <c r="D40" s="16"/>
      <c r="I40" s="1"/>
      <c r="J40" s="1"/>
      <c r="K40" s="1"/>
      <c r="U40" s="8"/>
      <c r="V40" s="8"/>
      <c r="W40" s="8"/>
    </row>
    <row r="41" spans="10:22" ht="12.75">
      <c r="J41" s="14"/>
      <c r="K41" s="14"/>
      <c r="V41" s="14"/>
    </row>
    <row r="42" spans="2:31" ht="12.75">
      <c r="B42" s="14"/>
      <c r="S42" s="14"/>
      <c r="T42" s="14"/>
      <c r="U42" s="46"/>
      <c r="AE42" s="14"/>
    </row>
    <row r="43" spans="1:2" ht="12.75">
      <c r="A43" s="14"/>
      <c r="B43" s="14"/>
    </row>
    <row r="44" ht="12.75">
      <c r="A44" s="14"/>
    </row>
    <row r="48" spans="20:21" ht="12.75">
      <c r="T48" s="29"/>
      <c r="U48" s="29"/>
    </row>
  </sheetData>
  <sheetProtection/>
  <printOptions/>
  <pageMargins left="0.17" right="0.17" top="0.76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2018-08-21T09:19:25Z</cp:lastPrinted>
  <dcterms:created xsi:type="dcterms:W3CDTF">1996-10-14T23:33:28Z</dcterms:created>
  <dcterms:modified xsi:type="dcterms:W3CDTF">2018-08-30T08:47:16Z</dcterms:modified>
  <cp:category/>
  <cp:version/>
  <cp:contentType/>
  <cp:contentStatus/>
</cp:coreProperties>
</file>